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00_SU 25.07.2019\KREDYT\0000000000_NSSU finasowanie sprzed. nieruchom\225 mln Kredyt zbycie GMK\Odpowidzi na WWW SU\"/>
    </mc:Choice>
  </mc:AlternateContent>
  <bookViews>
    <workbookView xWindow="0" yWindow="0" windowWidth="28800" windowHeight="11730"/>
  </bookViews>
  <sheets>
    <sheet name="spłaty pożyczek i kredytów" sheetId="2" r:id="rId1"/>
    <sheet name="Arkusz1" sheetId="1" r:id="rId2"/>
  </sheets>
  <externalReferences>
    <externalReference r:id="rId3"/>
  </externalReferences>
  <definedNames>
    <definedName name="\C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_Fill">#REF!</definedName>
    <definedName name="a">#REF!</definedName>
    <definedName name="b">#REF!</definedName>
    <definedName name="ccc">#REF!</definedName>
    <definedName name="ddd">#REF!</definedName>
    <definedName name="eeeeee">#REF!</definedName>
    <definedName name="gggg" hidden="1">#REF!</definedName>
    <definedName name="jjjj">#REF!</definedName>
    <definedName name="kkkk">#REF!</definedName>
    <definedName name="PLAN">#REF!</definedName>
    <definedName name="ROLNIK">#REF!</definedName>
    <definedName name="SAPBEXrevision">10</definedName>
    <definedName name="SAPBEXsysID">"BWP"</definedName>
    <definedName name="SAPBEXwbID">"4B4NLHNHLOUVDKDMLS6XUJTHZ"</definedName>
    <definedName name="Ubezpieczeni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2" l="1"/>
  <c r="V11" i="2"/>
  <c r="S11" i="2"/>
  <c r="P11" i="2"/>
  <c r="M11" i="2"/>
  <c r="J11" i="2"/>
  <c r="G11" i="2"/>
  <c r="D11" i="2"/>
  <c r="C11" i="2"/>
  <c r="T10" i="2"/>
  <c r="Q10" i="2"/>
  <c r="N10" i="2"/>
  <c r="K10" i="2"/>
  <c r="I10" i="2"/>
  <c r="L10" i="2" s="1"/>
  <c r="O10" i="2" s="1"/>
  <c r="R10" i="2" s="1"/>
  <c r="U10" i="2" s="1"/>
  <c r="X10" i="2" s="1"/>
  <c r="AA10" i="2" s="1"/>
  <c r="H10" i="2"/>
  <c r="F10" i="2"/>
  <c r="Z9" i="2"/>
  <c r="Z11" i="2" s="1"/>
  <c r="W9" i="2"/>
  <c r="W11" i="2" s="1"/>
  <c r="T9" i="2"/>
  <c r="T11" i="2" s="1"/>
  <c r="Q9" i="2"/>
  <c r="N9" i="2"/>
  <c r="K9" i="2"/>
  <c r="F9" i="2"/>
  <c r="I9" i="2" s="1"/>
  <c r="L9" i="2" s="1"/>
  <c r="O9" i="2" s="1"/>
  <c r="R9" i="2" s="1"/>
  <c r="U9" i="2" s="1"/>
  <c r="X9" i="2" s="1"/>
  <c r="AA9" i="2" s="1"/>
  <c r="Q8" i="2"/>
  <c r="N8" i="2"/>
  <c r="K8" i="2"/>
  <c r="H8" i="2"/>
  <c r="I8" i="2" s="1"/>
  <c r="L8" i="2" s="1"/>
  <c r="O8" i="2" s="1"/>
  <c r="R8" i="2" s="1"/>
  <c r="U8" i="2" s="1"/>
  <c r="X8" i="2" s="1"/>
  <c r="AA8" i="2" s="1"/>
  <c r="F8" i="2"/>
  <c r="E8" i="2"/>
  <c r="Q7" i="2"/>
  <c r="Q11" i="2" s="1"/>
  <c r="N7" i="2"/>
  <c r="K7" i="2"/>
  <c r="H7" i="2"/>
  <c r="E7" i="2"/>
  <c r="F7" i="2" s="1"/>
  <c r="I7" i="2" s="1"/>
  <c r="L7" i="2" s="1"/>
  <c r="O7" i="2" s="1"/>
  <c r="R7" i="2" s="1"/>
  <c r="U7" i="2" s="1"/>
  <c r="X7" i="2" s="1"/>
  <c r="AA7" i="2" s="1"/>
  <c r="N6" i="2"/>
  <c r="K6" i="2"/>
  <c r="H6" i="2"/>
  <c r="F6" i="2"/>
  <c r="I6" i="2" s="1"/>
  <c r="L6" i="2" s="1"/>
  <c r="O6" i="2" s="1"/>
  <c r="R6" i="2" s="1"/>
  <c r="U6" i="2" s="1"/>
  <c r="X6" i="2" s="1"/>
  <c r="AA6" i="2" s="1"/>
  <c r="E6" i="2"/>
  <c r="N5" i="2"/>
  <c r="K5" i="2"/>
  <c r="H5" i="2"/>
  <c r="I5" i="2" s="1"/>
  <c r="L5" i="2" s="1"/>
  <c r="O5" i="2" s="1"/>
  <c r="R5" i="2" s="1"/>
  <c r="U5" i="2" s="1"/>
  <c r="X5" i="2" s="1"/>
  <c r="AA5" i="2" s="1"/>
  <c r="F5" i="2"/>
  <c r="E5" i="2"/>
  <c r="N4" i="2"/>
  <c r="K4" i="2"/>
  <c r="H4" i="2"/>
  <c r="E4" i="2"/>
  <c r="F4" i="2" s="1"/>
  <c r="I4" i="2" s="1"/>
  <c r="L4" i="2" s="1"/>
  <c r="O4" i="2" s="1"/>
  <c r="R4" i="2" s="1"/>
  <c r="U4" i="2" s="1"/>
  <c r="X4" i="2" s="1"/>
  <c r="AA4" i="2" s="1"/>
  <c r="A4" i="2"/>
  <c r="A5" i="2" s="1"/>
  <c r="A6" i="2" s="1"/>
  <c r="A7" i="2" s="1"/>
  <c r="A8" i="2" s="1"/>
  <c r="A9" i="2" s="1"/>
  <c r="N3" i="2"/>
  <c r="N11" i="2" s="1"/>
  <c r="K3" i="2"/>
  <c r="K11" i="2" s="1"/>
  <c r="H3" i="2"/>
  <c r="E3" i="2"/>
  <c r="E11" i="2" s="1"/>
  <c r="H11" i="2" l="1"/>
  <c r="F3" i="2"/>
  <c r="I3" i="2" l="1"/>
  <c r="F11" i="2"/>
  <c r="I11" i="2" l="1"/>
  <c r="L3" i="2"/>
  <c r="O3" i="2" l="1"/>
  <c r="L11" i="2"/>
  <c r="O11" i="2" l="1"/>
  <c r="R3" i="2"/>
  <c r="U3" i="2" l="1"/>
  <c r="R11" i="2"/>
  <c r="X3" i="2" l="1"/>
  <c r="U11" i="2"/>
  <c r="AA3" i="2" l="1"/>
  <c r="AA11" i="2" s="1"/>
  <c r="X11" i="2"/>
</calcChain>
</file>

<file path=xl/sharedStrings.xml><?xml version="1.0" encoding="utf-8"?>
<sst xmlns="http://schemas.openxmlformats.org/spreadsheetml/2006/main" count="43" uniqueCount="43">
  <si>
    <t>2019 rok</t>
  </si>
  <si>
    <t>2020 rok</t>
  </si>
  <si>
    <t>2021 rok</t>
  </si>
  <si>
    <t>2022 rok</t>
  </si>
  <si>
    <t>2023 rok</t>
  </si>
  <si>
    <t>2024 rok</t>
  </si>
  <si>
    <t>2025 rok</t>
  </si>
  <si>
    <t>2026 rok</t>
  </si>
  <si>
    <t>lp</t>
  </si>
  <si>
    <t>kapitał kredytu</t>
  </si>
  <si>
    <t>2018 wykonanie</t>
  </si>
  <si>
    <t>zaciągnięcie 2019</t>
  </si>
  <si>
    <t>spłata 2019</t>
  </si>
  <si>
    <t>stan na koniec 2019</t>
  </si>
  <si>
    <t>zaciągnięcie 2020</t>
  </si>
  <si>
    <t>spłata 2020</t>
  </si>
  <si>
    <t>stan na koniec 2020</t>
  </si>
  <si>
    <t>zaciągnięcie 2021</t>
  </si>
  <si>
    <t>spłata 2021</t>
  </si>
  <si>
    <t>stan na koniec 2021</t>
  </si>
  <si>
    <t>zaciągnięcie 2022</t>
  </si>
  <si>
    <t>spłata 2022</t>
  </si>
  <si>
    <t>stan na koniec 2022</t>
  </si>
  <si>
    <t>zaciągnięcie 2023</t>
  </si>
  <si>
    <t>spłata 2023</t>
  </si>
  <si>
    <t>stan na koniec 2023</t>
  </si>
  <si>
    <t>zaciągnięcie 2024</t>
  </si>
  <si>
    <t>spłata 2024</t>
  </si>
  <si>
    <t>stan na koniec 2024</t>
  </si>
  <si>
    <t>zaciągnięcie 2025</t>
  </si>
  <si>
    <t>spłata 2025</t>
  </si>
  <si>
    <t>stan na koniec 2025</t>
  </si>
  <si>
    <t>zaciągnięcie 2026</t>
  </si>
  <si>
    <t>spłata 2026</t>
  </si>
  <si>
    <t>stan na koniec 2026</t>
  </si>
  <si>
    <t>kredyt DNB 50 mln kapitał z 20.01.2015  roku</t>
  </si>
  <si>
    <t xml:space="preserve"> IDEA BANK 68 mln  kapitał
z 2.09.2015</t>
  </si>
  <si>
    <t xml:space="preserve">Pożyczka  Getin 14 mln  kapitał
16.09.2016
 </t>
  </si>
  <si>
    <t xml:space="preserve">Pożyczka  DLL  16 mln  kapitał
z 16.09.2016
 </t>
  </si>
  <si>
    <t xml:space="preserve"> Getin  pożyczka 15 mln spłacana od X 2017  po 200 TPLN  bez karencji</t>
  </si>
  <si>
    <t xml:space="preserve"> Pożyczka GNB - 15 mln zł 2018 ROK</t>
  </si>
  <si>
    <t>Kredyt inwestycyjny  w wysok. 45,1 mln zł na wkład własny
spłata po 730 tys.
 "W dla NSSU"</t>
  </si>
  <si>
    <t xml:space="preserve"> Pożyczka GNB  - 30  mln zł 2019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</si>
</sst>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u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6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5" fillId="6" borderId="3" xfId="2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5" fillId="7" borderId="3" xfId="2" applyFont="1" applyFill="1" applyBorder="1" applyAlignment="1">
      <alignment horizontal="center" vertical="center" wrapText="1"/>
    </xf>
    <xf numFmtId="0" fontId="6" fillId="7" borderId="3" xfId="2" applyFont="1" applyFill="1" applyBorder="1" applyAlignment="1">
      <alignment horizontal="center" vertical="center" wrapText="1"/>
    </xf>
    <xf numFmtId="0" fontId="5" fillId="8" borderId="3" xfId="2" applyFont="1" applyFill="1" applyBorder="1" applyAlignment="1">
      <alignment horizontal="center" vertical="center" wrapText="1"/>
    </xf>
    <xf numFmtId="0" fontId="6" fillId="8" borderId="3" xfId="2" applyFont="1" applyFill="1" applyBorder="1" applyAlignment="1">
      <alignment horizontal="center" vertical="center" wrapText="1"/>
    </xf>
    <xf numFmtId="0" fontId="5" fillId="9" borderId="3" xfId="2" applyFont="1" applyFill="1" applyBorder="1" applyAlignment="1">
      <alignment horizontal="center" vertical="center" wrapText="1"/>
    </xf>
    <xf numFmtId="0" fontId="6" fillId="9" borderId="3" xfId="2" applyFont="1" applyFill="1" applyBorder="1" applyAlignment="1">
      <alignment horizontal="center" vertical="center" wrapText="1"/>
    </xf>
    <xf numFmtId="0" fontId="1" fillId="0" borderId="0" xfId="1"/>
    <xf numFmtId="0" fontId="4" fillId="0" borderId="4" xfId="2" applyFont="1" applyFill="1" applyBorder="1" applyAlignment="1">
      <alignment horizontal="center" vertical="center" wrapText="1"/>
    </xf>
    <xf numFmtId="4" fontId="4" fillId="0" borderId="3" xfId="2" applyNumberFormat="1" applyFont="1" applyFill="1" applyBorder="1" applyAlignment="1">
      <alignment vertical="center" wrapText="1"/>
    </xf>
    <xf numFmtId="4" fontId="4" fillId="2" borderId="3" xfId="2" applyNumberFormat="1" applyFont="1" applyFill="1" applyBorder="1" applyAlignment="1">
      <alignment vertical="center" wrapText="1"/>
    </xf>
    <xf numFmtId="4" fontId="7" fillId="2" borderId="3" xfId="2" applyNumberFormat="1" applyFont="1" applyFill="1" applyBorder="1" applyAlignment="1">
      <alignment vertical="center" wrapText="1"/>
    </xf>
    <xf numFmtId="4" fontId="8" fillId="2" borderId="3" xfId="2" applyNumberFormat="1" applyFont="1" applyFill="1" applyBorder="1" applyAlignment="1">
      <alignment vertical="center" wrapText="1"/>
    </xf>
    <xf numFmtId="4" fontId="4" fillId="3" borderId="3" xfId="2" applyNumberFormat="1" applyFont="1" applyFill="1" applyBorder="1" applyAlignment="1">
      <alignment vertical="center" wrapText="1"/>
    </xf>
    <xf numFmtId="4" fontId="7" fillId="3" borderId="3" xfId="2" applyNumberFormat="1" applyFont="1" applyFill="1" applyBorder="1" applyAlignment="1">
      <alignment vertical="center" wrapText="1"/>
    </xf>
    <xf numFmtId="4" fontId="8" fillId="3" borderId="3" xfId="2" applyNumberFormat="1" applyFont="1" applyFill="1" applyBorder="1" applyAlignment="1">
      <alignment vertical="center" wrapText="1"/>
    </xf>
    <xf numFmtId="4" fontId="4" fillId="4" borderId="3" xfId="2" applyNumberFormat="1" applyFont="1" applyFill="1" applyBorder="1" applyAlignment="1">
      <alignment vertical="center" wrapText="1"/>
    </xf>
    <xf numFmtId="4" fontId="6" fillId="4" borderId="3" xfId="2" applyNumberFormat="1" applyFont="1" applyFill="1" applyBorder="1" applyAlignment="1">
      <alignment vertical="center" wrapText="1"/>
    </xf>
    <xf numFmtId="4" fontId="9" fillId="4" borderId="3" xfId="2" applyNumberFormat="1" applyFont="1" applyFill="1" applyBorder="1" applyAlignment="1">
      <alignment vertical="center" wrapText="1"/>
    </xf>
    <xf numFmtId="4" fontId="5" fillId="5" borderId="3" xfId="2" applyNumberFormat="1" applyFont="1" applyFill="1" applyBorder="1" applyAlignment="1">
      <alignment vertical="center" wrapText="1"/>
    </xf>
    <xf numFmtId="4" fontId="6" fillId="5" borderId="3" xfId="2" applyNumberFormat="1" applyFont="1" applyFill="1" applyBorder="1" applyAlignment="1">
      <alignment vertical="center" wrapText="1"/>
    </xf>
    <xf numFmtId="4" fontId="9" fillId="5" borderId="3" xfId="2" applyNumberFormat="1" applyFont="1" applyFill="1" applyBorder="1" applyAlignment="1">
      <alignment vertical="center" wrapText="1"/>
    </xf>
    <xf numFmtId="4" fontId="5" fillId="6" borderId="3" xfId="2" applyNumberFormat="1" applyFont="1" applyFill="1" applyBorder="1" applyAlignment="1">
      <alignment vertical="center" wrapText="1"/>
    </xf>
    <xf numFmtId="4" fontId="6" fillId="6" borderId="3" xfId="2" applyNumberFormat="1" applyFont="1" applyFill="1" applyBorder="1" applyAlignment="1">
      <alignment vertical="center" wrapText="1"/>
    </xf>
    <xf numFmtId="4" fontId="9" fillId="6" borderId="3" xfId="2" applyNumberFormat="1" applyFont="1" applyFill="1" applyBorder="1" applyAlignment="1">
      <alignment vertical="center" wrapText="1"/>
    </xf>
    <xf numFmtId="4" fontId="5" fillId="7" borderId="3" xfId="2" applyNumberFormat="1" applyFont="1" applyFill="1" applyBorder="1" applyAlignment="1">
      <alignment vertical="center" wrapText="1"/>
    </xf>
    <xf numFmtId="4" fontId="6" fillId="7" borderId="3" xfId="2" applyNumberFormat="1" applyFont="1" applyFill="1" applyBorder="1" applyAlignment="1">
      <alignment vertical="center" wrapText="1"/>
    </xf>
    <xf numFmtId="4" fontId="9" fillId="7" borderId="3" xfId="2" applyNumberFormat="1" applyFont="1" applyFill="1" applyBorder="1" applyAlignment="1">
      <alignment vertical="center" wrapText="1"/>
    </xf>
    <xf numFmtId="4" fontId="5" fillId="8" borderId="3" xfId="2" applyNumberFormat="1" applyFont="1" applyFill="1" applyBorder="1" applyAlignment="1">
      <alignment vertical="center" wrapText="1"/>
    </xf>
    <xf numFmtId="4" fontId="6" fillId="8" borderId="3" xfId="2" applyNumberFormat="1" applyFont="1" applyFill="1" applyBorder="1" applyAlignment="1">
      <alignment vertical="center" wrapText="1"/>
    </xf>
    <xf numFmtId="4" fontId="9" fillId="8" borderId="3" xfId="2" applyNumberFormat="1" applyFont="1" applyFill="1" applyBorder="1" applyAlignment="1">
      <alignment vertical="center" wrapText="1"/>
    </xf>
    <xf numFmtId="4" fontId="5" fillId="9" borderId="3" xfId="2" applyNumberFormat="1" applyFont="1" applyFill="1" applyBorder="1" applyAlignment="1">
      <alignment vertical="center" wrapText="1"/>
    </xf>
    <xf numFmtId="4" fontId="6" fillId="9" borderId="3" xfId="2" applyNumberFormat="1" applyFont="1" applyFill="1" applyBorder="1" applyAlignment="1">
      <alignment vertical="center" wrapText="1"/>
    </xf>
    <xf numFmtId="4" fontId="9" fillId="9" borderId="3" xfId="2" applyNumberFormat="1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vertical="center" wrapText="1"/>
    </xf>
    <xf numFmtId="4" fontId="4" fillId="0" borderId="8" xfId="2" applyNumberFormat="1" applyFont="1" applyFill="1" applyBorder="1" applyAlignment="1">
      <alignment vertical="center" wrapText="1"/>
    </xf>
    <xf numFmtId="4" fontId="4" fillId="2" borderId="8" xfId="2" applyNumberFormat="1" applyFont="1" applyFill="1" applyBorder="1" applyAlignment="1">
      <alignment vertical="center" wrapText="1"/>
    </xf>
    <xf numFmtId="4" fontId="7" fillId="2" borderId="8" xfId="2" applyNumberFormat="1" applyFont="1" applyFill="1" applyBorder="1" applyAlignment="1">
      <alignment vertical="center" wrapText="1"/>
    </xf>
    <xf numFmtId="4" fontId="4" fillId="3" borderId="8" xfId="2" applyNumberFormat="1" applyFont="1" applyFill="1" applyBorder="1" applyAlignment="1">
      <alignment vertical="center" wrapText="1"/>
    </xf>
    <xf numFmtId="4" fontId="7" fillId="3" borderId="8" xfId="2" applyNumberFormat="1" applyFont="1" applyFill="1" applyBorder="1" applyAlignment="1">
      <alignment vertical="center" wrapText="1"/>
    </xf>
    <xf numFmtId="4" fontId="4" fillId="4" borderId="8" xfId="2" applyNumberFormat="1" applyFont="1" applyFill="1" applyBorder="1" applyAlignment="1">
      <alignment vertical="center" wrapText="1"/>
    </xf>
    <xf numFmtId="4" fontId="6" fillId="4" borderId="8" xfId="2" applyNumberFormat="1" applyFont="1" applyFill="1" applyBorder="1" applyAlignment="1">
      <alignment vertical="center" wrapText="1"/>
    </xf>
    <xf numFmtId="4" fontId="5" fillId="5" borderId="8" xfId="2" applyNumberFormat="1" applyFont="1" applyFill="1" applyBorder="1" applyAlignment="1">
      <alignment vertical="center" wrapText="1"/>
    </xf>
    <xf numFmtId="4" fontId="6" fillId="5" borderId="8" xfId="2" applyNumberFormat="1" applyFont="1" applyFill="1" applyBorder="1" applyAlignment="1">
      <alignment vertical="center" wrapText="1"/>
    </xf>
    <xf numFmtId="4" fontId="5" fillId="6" borderId="8" xfId="2" applyNumberFormat="1" applyFont="1" applyFill="1" applyBorder="1" applyAlignment="1">
      <alignment vertical="center" wrapText="1"/>
    </xf>
    <xf numFmtId="4" fontId="6" fillId="6" borderId="8" xfId="2" applyNumberFormat="1" applyFont="1" applyFill="1" applyBorder="1" applyAlignment="1">
      <alignment vertical="center" wrapText="1"/>
    </xf>
    <xf numFmtId="4" fontId="5" fillId="7" borderId="8" xfId="2" applyNumberFormat="1" applyFont="1" applyFill="1" applyBorder="1" applyAlignment="1">
      <alignment vertical="center" wrapText="1"/>
    </xf>
    <xf numFmtId="4" fontId="6" fillId="7" borderId="8" xfId="2" applyNumberFormat="1" applyFont="1" applyFill="1" applyBorder="1" applyAlignment="1">
      <alignment vertical="center" wrapText="1"/>
    </xf>
    <xf numFmtId="4" fontId="5" fillId="8" borderId="8" xfId="2" applyNumberFormat="1" applyFont="1" applyFill="1" applyBorder="1" applyAlignment="1">
      <alignment vertical="center" wrapText="1"/>
    </xf>
    <xf numFmtId="4" fontId="6" fillId="8" borderId="8" xfId="2" applyNumberFormat="1" applyFont="1" applyFill="1" applyBorder="1" applyAlignment="1">
      <alignment vertical="center" wrapText="1"/>
    </xf>
    <xf numFmtId="4" fontId="5" fillId="9" borderId="8" xfId="2" applyNumberFormat="1" applyFont="1" applyFill="1" applyBorder="1" applyAlignment="1">
      <alignment vertical="center" wrapText="1"/>
    </xf>
    <xf numFmtId="4" fontId="6" fillId="9" borderId="8" xfId="2" applyNumberFormat="1" applyFont="1" applyFill="1" applyBorder="1" applyAlignment="1">
      <alignment vertical="center" wrapText="1"/>
    </xf>
    <xf numFmtId="0" fontId="1" fillId="0" borderId="0" xfId="1" applyFill="1"/>
    <xf numFmtId="0" fontId="1" fillId="0" borderId="3" xfId="1" applyBorder="1"/>
    <xf numFmtId="0" fontId="1" fillId="0" borderId="3" xfId="1" applyBorder="1" applyAlignment="1">
      <alignment vertical="center"/>
    </xf>
    <xf numFmtId="4" fontId="10" fillId="0" borderId="3" xfId="1" applyNumberFormat="1" applyFont="1" applyBorder="1" applyAlignment="1">
      <alignment vertical="center"/>
    </xf>
    <xf numFmtId="4" fontId="10" fillId="2" borderId="3" xfId="1" applyNumberFormat="1" applyFont="1" applyFill="1" applyBorder="1" applyAlignment="1">
      <alignment vertical="center"/>
    </xf>
    <xf numFmtId="4" fontId="11" fillId="2" borderId="3" xfId="1" applyNumberFormat="1" applyFont="1" applyFill="1" applyBorder="1" applyAlignment="1">
      <alignment vertical="center"/>
    </xf>
    <xf numFmtId="4" fontId="12" fillId="2" borderId="3" xfId="1" applyNumberFormat="1" applyFont="1" applyFill="1" applyBorder="1" applyAlignment="1">
      <alignment vertical="center"/>
    </xf>
    <xf numFmtId="4" fontId="10" fillId="3" borderId="3" xfId="1" applyNumberFormat="1" applyFont="1" applyFill="1" applyBorder="1" applyAlignment="1">
      <alignment vertical="center"/>
    </xf>
    <xf numFmtId="4" fontId="11" fillId="3" borderId="3" xfId="1" applyNumberFormat="1" applyFont="1" applyFill="1" applyBorder="1" applyAlignment="1">
      <alignment vertical="center"/>
    </xf>
    <xf numFmtId="4" fontId="12" fillId="3" borderId="3" xfId="1" applyNumberFormat="1" applyFont="1" applyFill="1" applyBorder="1" applyAlignment="1">
      <alignment vertical="center"/>
    </xf>
    <xf numFmtId="4" fontId="10" fillId="4" borderId="3" xfId="1" applyNumberFormat="1" applyFont="1" applyFill="1" applyBorder="1" applyAlignment="1">
      <alignment vertical="center"/>
    </xf>
    <xf numFmtId="4" fontId="13" fillId="4" borderId="3" xfId="1" applyNumberFormat="1" applyFont="1" applyFill="1" applyBorder="1" applyAlignment="1">
      <alignment vertical="center"/>
    </xf>
    <xf numFmtId="4" fontId="2" fillId="4" borderId="3" xfId="1" applyNumberFormat="1" applyFont="1" applyFill="1" applyBorder="1" applyAlignment="1">
      <alignment vertical="center"/>
    </xf>
    <xf numFmtId="4" fontId="1" fillId="5" borderId="3" xfId="1" applyNumberFormat="1" applyFill="1" applyBorder="1" applyAlignment="1">
      <alignment vertical="center"/>
    </xf>
    <xf numFmtId="4" fontId="13" fillId="5" borderId="3" xfId="1" applyNumberFormat="1" applyFont="1" applyFill="1" applyBorder="1" applyAlignment="1">
      <alignment vertical="center"/>
    </xf>
    <xf numFmtId="4" fontId="2" fillId="5" borderId="3" xfId="1" applyNumberFormat="1" applyFont="1" applyFill="1" applyBorder="1" applyAlignment="1">
      <alignment vertical="center"/>
    </xf>
    <xf numFmtId="4" fontId="1" fillId="6" borderId="3" xfId="1" applyNumberFormat="1" applyFill="1" applyBorder="1" applyAlignment="1">
      <alignment vertical="center"/>
    </xf>
    <xf numFmtId="4" fontId="13" fillId="6" borderId="3" xfId="1" applyNumberFormat="1" applyFont="1" applyFill="1" applyBorder="1" applyAlignment="1">
      <alignment vertical="center"/>
    </xf>
    <xf numFmtId="4" fontId="2" fillId="6" borderId="3" xfId="1" applyNumberFormat="1" applyFont="1" applyFill="1" applyBorder="1" applyAlignment="1">
      <alignment vertical="center"/>
    </xf>
    <xf numFmtId="4" fontId="1" fillId="7" borderId="3" xfId="1" applyNumberFormat="1" applyFill="1" applyBorder="1" applyAlignment="1">
      <alignment vertical="center"/>
    </xf>
    <xf numFmtId="4" fontId="13" fillId="7" borderId="3" xfId="1" applyNumberFormat="1" applyFont="1" applyFill="1" applyBorder="1" applyAlignment="1">
      <alignment vertical="center"/>
    </xf>
    <xf numFmtId="4" fontId="2" fillId="7" borderId="3" xfId="1" applyNumberFormat="1" applyFont="1" applyFill="1" applyBorder="1" applyAlignment="1">
      <alignment vertical="center"/>
    </xf>
    <xf numFmtId="4" fontId="1" fillId="8" borderId="3" xfId="1" applyNumberFormat="1" applyFill="1" applyBorder="1" applyAlignment="1">
      <alignment vertical="center"/>
    </xf>
    <xf numFmtId="4" fontId="13" fillId="8" borderId="3" xfId="1" applyNumberFormat="1" applyFont="1" applyFill="1" applyBorder="1" applyAlignment="1">
      <alignment vertical="center"/>
    </xf>
    <xf numFmtId="4" fontId="2" fillId="8" borderId="3" xfId="1" applyNumberFormat="1" applyFont="1" applyFill="1" applyBorder="1" applyAlignment="1">
      <alignment vertical="center"/>
    </xf>
    <xf numFmtId="4" fontId="1" fillId="9" borderId="3" xfId="1" applyNumberFormat="1" applyFill="1" applyBorder="1" applyAlignment="1">
      <alignment vertical="center"/>
    </xf>
    <xf numFmtId="4" fontId="13" fillId="9" borderId="3" xfId="1" applyNumberFormat="1" applyFont="1" applyFill="1" applyBorder="1" applyAlignment="1">
      <alignment vertical="center"/>
    </xf>
    <xf numFmtId="4" fontId="2" fillId="9" borderId="3" xfId="1" applyNumberFormat="1" applyFont="1" applyFill="1" applyBorder="1" applyAlignment="1">
      <alignment vertical="center"/>
    </xf>
  </cellXfs>
  <cellStyles count="3">
    <cellStyle name="Normalny" xfId="0" builtinId="0"/>
    <cellStyle name="Normalny 2" xfId="1"/>
    <cellStyle name="Normalny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0_SU%2025.07.2019/KREDYT/0000_%202019%20GNB%20Kredyt%20%2030%20mln%20z&#322;/0_KALKUL.%20do%20po&#380;yczki%2030%20mln%2005.05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yczka 30 mln  marża 2,89 %"/>
      <sheetName val="Pozyczka 30 mln marża 3 %"/>
      <sheetName val="kapit i koszty ogołem"/>
      <sheetName val="rataly harmonogram"/>
      <sheetName val="zabezpieczenie"/>
      <sheetName val="Arkusz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tabSelected="1" zoomScaleNormal="100" workbookViewId="0">
      <selection activeCell="B11" sqref="B11"/>
    </sheetView>
  </sheetViews>
  <sheetFormatPr defaultRowHeight="15" x14ac:dyDescent="0.25"/>
  <cols>
    <col min="1" max="1" width="2.7109375" style="30" bestFit="1" customWidth="1"/>
    <col min="2" max="2" width="35.42578125" style="30" bestFit="1" customWidth="1"/>
    <col min="3" max="3" width="16.28515625" style="30" bestFit="1" customWidth="1"/>
    <col min="4" max="4" width="16.140625" style="30" bestFit="1" customWidth="1"/>
    <col min="5" max="5" width="17.85546875" style="30" customWidth="1"/>
    <col min="6" max="6" width="18.28515625" style="30" bestFit="1" customWidth="1"/>
    <col min="7" max="7" width="16.140625" style="30" bestFit="1" customWidth="1"/>
    <col min="8" max="8" width="17.5703125" style="30" customWidth="1"/>
    <col min="9" max="9" width="18.28515625" style="30" bestFit="1" customWidth="1"/>
    <col min="10" max="10" width="16.140625" style="30" bestFit="1" customWidth="1"/>
    <col min="11" max="11" width="16" style="30" customWidth="1"/>
    <col min="12" max="12" width="18.42578125" style="30" customWidth="1"/>
    <col min="13" max="13" width="16.140625" style="30" bestFit="1" customWidth="1"/>
    <col min="14" max="14" width="14.85546875" style="30" bestFit="1" customWidth="1"/>
    <col min="15" max="15" width="18.28515625" style="30" bestFit="1" customWidth="1"/>
    <col min="16" max="16" width="16.140625" style="30" bestFit="1" customWidth="1"/>
    <col min="17" max="17" width="14.85546875" style="30" bestFit="1" customWidth="1"/>
    <col min="18" max="18" width="18.28515625" style="30" bestFit="1" customWidth="1"/>
    <col min="19" max="19" width="16.140625" style="30" bestFit="1" customWidth="1"/>
    <col min="20" max="20" width="14.85546875" style="30" bestFit="1" customWidth="1"/>
    <col min="21" max="21" width="18.28515625" style="30" bestFit="1" customWidth="1"/>
    <col min="22" max="22" width="17" style="30" customWidth="1"/>
    <col min="23" max="23" width="13.7109375" style="30" bestFit="1" customWidth="1"/>
    <col min="24" max="24" width="18.28515625" style="30" bestFit="1" customWidth="1"/>
    <col min="25" max="25" width="16.140625" style="30" bestFit="1" customWidth="1"/>
    <col min="26" max="27" width="13.7109375" style="30" bestFit="1" customWidth="1"/>
    <col min="28" max="16384" width="9.140625" style="30"/>
  </cols>
  <sheetData>
    <row r="1" spans="1:27" s="1" customFormat="1" x14ac:dyDescent="0.25">
      <c r="B1" s="2"/>
      <c r="C1" s="2"/>
      <c r="D1" s="3" t="s">
        <v>0</v>
      </c>
      <c r="E1" s="3"/>
      <c r="F1" s="3"/>
      <c r="G1" s="4" t="s">
        <v>1</v>
      </c>
      <c r="H1" s="4"/>
      <c r="I1" s="4"/>
      <c r="J1" s="5" t="s">
        <v>2</v>
      </c>
      <c r="K1" s="5"/>
      <c r="L1" s="5"/>
      <c r="M1" s="6" t="s">
        <v>3</v>
      </c>
      <c r="N1" s="6"/>
      <c r="O1" s="6"/>
      <c r="P1" s="7" t="s">
        <v>4</v>
      </c>
      <c r="Q1" s="7"/>
      <c r="R1" s="7"/>
      <c r="S1" s="8" t="s">
        <v>5</v>
      </c>
      <c r="T1" s="8"/>
      <c r="U1" s="8"/>
      <c r="V1" s="9" t="s">
        <v>6</v>
      </c>
      <c r="W1" s="9"/>
      <c r="X1" s="9"/>
      <c r="Y1" s="10" t="s">
        <v>7</v>
      </c>
      <c r="Z1" s="10"/>
      <c r="AA1" s="10"/>
    </row>
    <row r="2" spans="1:27" ht="30" x14ac:dyDescent="0.25">
      <c r="A2" s="11" t="s">
        <v>8</v>
      </c>
      <c r="B2" s="12" t="s">
        <v>9</v>
      </c>
      <c r="C2" s="13" t="s">
        <v>10</v>
      </c>
      <c r="D2" s="14" t="s">
        <v>11</v>
      </c>
      <c r="E2" s="15" t="s">
        <v>12</v>
      </c>
      <c r="F2" s="14" t="s">
        <v>13</v>
      </c>
      <c r="G2" s="16" t="s">
        <v>14</v>
      </c>
      <c r="H2" s="17" t="s">
        <v>15</v>
      </c>
      <c r="I2" s="16" t="s">
        <v>16</v>
      </c>
      <c r="J2" s="18" t="s">
        <v>17</v>
      </c>
      <c r="K2" s="19" t="s">
        <v>18</v>
      </c>
      <c r="L2" s="18" t="s">
        <v>19</v>
      </c>
      <c r="M2" s="20" t="s">
        <v>20</v>
      </c>
      <c r="N2" s="21" t="s">
        <v>21</v>
      </c>
      <c r="O2" s="20" t="s">
        <v>22</v>
      </c>
      <c r="P2" s="22" t="s">
        <v>23</v>
      </c>
      <c r="Q2" s="23" t="s">
        <v>24</v>
      </c>
      <c r="R2" s="22" t="s">
        <v>25</v>
      </c>
      <c r="S2" s="24" t="s">
        <v>26</v>
      </c>
      <c r="T2" s="25" t="s">
        <v>27</v>
      </c>
      <c r="U2" s="24" t="s">
        <v>28</v>
      </c>
      <c r="V2" s="26" t="s">
        <v>29</v>
      </c>
      <c r="W2" s="27" t="s">
        <v>30</v>
      </c>
      <c r="X2" s="26" t="s">
        <v>31</v>
      </c>
      <c r="Y2" s="28" t="s">
        <v>32</v>
      </c>
      <c r="Z2" s="29" t="s">
        <v>33</v>
      </c>
      <c r="AA2" s="28" t="s">
        <v>34</v>
      </c>
    </row>
    <row r="3" spans="1:27" ht="50.1" customHeight="1" x14ac:dyDescent="0.25">
      <c r="A3" s="31">
        <v>1</v>
      </c>
      <c r="B3" s="12" t="s">
        <v>35</v>
      </c>
      <c r="C3" s="32">
        <v>14086276</v>
      </c>
      <c r="D3" s="33">
        <v>0</v>
      </c>
      <c r="E3" s="34">
        <f>12*816221</f>
        <v>9794652</v>
      </c>
      <c r="F3" s="35">
        <f>+C3+D3-E3</f>
        <v>4291624</v>
      </c>
      <c r="G3" s="36">
        <v>0</v>
      </c>
      <c r="H3" s="37">
        <f>12*153274</f>
        <v>1839288</v>
      </c>
      <c r="I3" s="38">
        <f>+F3+G3-H3</f>
        <v>2452336</v>
      </c>
      <c r="J3" s="39">
        <v>0</v>
      </c>
      <c r="K3" s="40">
        <f>12*153274</f>
        <v>1839288</v>
      </c>
      <c r="L3" s="41">
        <f>+I3+J3-K3</f>
        <v>613048</v>
      </c>
      <c r="M3" s="42">
        <v>0</v>
      </c>
      <c r="N3" s="43">
        <f>4*153274</f>
        <v>613096</v>
      </c>
      <c r="O3" s="44">
        <f>+L3+M3-N3+48</f>
        <v>0</v>
      </c>
      <c r="P3" s="45">
        <v>0</v>
      </c>
      <c r="Q3" s="46">
        <v>0</v>
      </c>
      <c r="R3" s="47">
        <f>+O3+P3-Q3</f>
        <v>0</v>
      </c>
      <c r="S3" s="48">
        <v>0</v>
      </c>
      <c r="T3" s="49">
        <v>0</v>
      </c>
      <c r="U3" s="50">
        <f>+R3+S3-T3</f>
        <v>0</v>
      </c>
      <c r="V3" s="51">
        <v>0</v>
      </c>
      <c r="W3" s="52">
        <v>0</v>
      </c>
      <c r="X3" s="53">
        <f>+U3+V3-W3</f>
        <v>0</v>
      </c>
      <c r="Y3" s="54">
        <v>0</v>
      </c>
      <c r="Z3" s="55">
        <v>0</v>
      </c>
      <c r="AA3" s="56">
        <f>+X3+Y3-Z3</f>
        <v>0</v>
      </c>
    </row>
    <row r="4" spans="1:27" ht="50.1" customHeight="1" x14ac:dyDescent="0.25">
      <c r="A4" s="31">
        <f>+A3+1</f>
        <v>2</v>
      </c>
      <c r="B4" s="12" t="s">
        <v>36</v>
      </c>
      <c r="C4" s="32">
        <v>52099128.969999999</v>
      </c>
      <c r="D4" s="33">
        <v>0</v>
      </c>
      <c r="E4" s="34">
        <f>12*500000</f>
        <v>6000000</v>
      </c>
      <c r="F4" s="35">
        <f t="shared" ref="F4:F10" si="0">+C4+D4-E4</f>
        <v>46099128.969999999</v>
      </c>
      <c r="G4" s="36">
        <v>0</v>
      </c>
      <c r="H4" s="37">
        <f>11*1200000+1*1300000</f>
        <v>14500000</v>
      </c>
      <c r="I4" s="38">
        <f t="shared" ref="I4:I10" si="1">+F4+G4-H4</f>
        <v>31599128.969999999</v>
      </c>
      <c r="J4" s="39">
        <v>0</v>
      </c>
      <c r="K4" s="40">
        <f>12*1300000</f>
        <v>15600000</v>
      </c>
      <c r="L4" s="41">
        <f t="shared" ref="L4:L10" si="2">+I4+J4-K4</f>
        <v>15999128.969999999</v>
      </c>
      <c r="M4" s="42">
        <v>0</v>
      </c>
      <c r="N4" s="43">
        <f>8*1300000+4*1400000</f>
        <v>16000000</v>
      </c>
      <c r="O4" s="44">
        <f>+L4+M4-N4+871.03</f>
        <v>-1.1921201803488657E-9</v>
      </c>
      <c r="P4" s="45">
        <v>0</v>
      </c>
      <c r="Q4" s="46">
        <v>0</v>
      </c>
      <c r="R4" s="47">
        <f>+O4+P4-Q4</f>
        <v>-1.1921201803488657E-9</v>
      </c>
      <c r="S4" s="48">
        <v>0</v>
      </c>
      <c r="T4" s="49">
        <v>0</v>
      </c>
      <c r="U4" s="50">
        <f>+R4+S4-T4</f>
        <v>-1.1921201803488657E-9</v>
      </c>
      <c r="V4" s="51">
        <v>0</v>
      </c>
      <c r="W4" s="52">
        <v>0</v>
      </c>
      <c r="X4" s="53">
        <f>+U4+V4-W4</f>
        <v>-1.1921201803488657E-9</v>
      </c>
      <c r="Y4" s="54">
        <v>0</v>
      </c>
      <c r="Z4" s="55">
        <v>0</v>
      </c>
      <c r="AA4" s="56">
        <f>+X4+Y4-Z4</f>
        <v>-1.1921201803488657E-9</v>
      </c>
    </row>
    <row r="5" spans="1:27" ht="50.1" customHeight="1" x14ac:dyDescent="0.25">
      <c r="A5" s="31">
        <f t="shared" ref="A5:A6" si="3">+A4+1</f>
        <v>3</v>
      </c>
      <c r="B5" s="12" t="s">
        <v>37</v>
      </c>
      <c r="C5" s="32">
        <v>9320000</v>
      </c>
      <c r="D5" s="33">
        <v>0</v>
      </c>
      <c r="E5" s="34">
        <f>12*195000</f>
        <v>2340000</v>
      </c>
      <c r="F5" s="35">
        <f t="shared" si="0"/>
        <v>6980000</v>
      </c>
      <c r="G5" s="36">
        <v>0</v>
      </c>
      <c r="H5" s="37">
        <f>12*195000</f>
        <v>2340000</v>
      </c>
      <c r="I5" s="38">
        <f t="shared" si="1"/>
        <v>4640000</v>
      </c>
      <c r="J5" s="39">
        <v>0</v>
      </c>
      <c r="K5" s="40">
        <f>12*195000</f>
        <v>2340000</v>
      </c>
      <c r="L5" s="41">
        <f t="shared" si="2"/>
        <v>2300000</v>
      </c>
      <c r="M5" s="42">
        <v>0</v>
      </c>
      <c r="N5" s="43">
        <f>10*195000+2*175000</f>
        <v>2300000</v>
      </c>
      <c r="O5" s="44">
        <f t="shared" ref="O5:O10" si="4">+L5+M5-N5</f>
        <v>0</v>
      </c>
      <c r="P5" s="45">
        <v>0</v>
      </c>
      <c r="Q5" s="46">
        <v>0</v>
      </c>
      <c r="R5" s="47">
        <f t="shared" ref="R5:R10" si="5">+O5+P5-Q5</f>
        <v>0</v>
      </c>
      <c r="S5" s="48">
        <v>0</v>
      </c>
      <c r="T5" s="49">
        <v>0</v>
      </c>
      <c r="U5" s="50">
        <f t="shared" ref="U5:U10" si="6">+R5+S5-T5</f>
        <v>0</v>
      </c>
      <c r="V5" s="51">
        <v>0</v>
      </c>
      <c r="W5" s="52">
        <v>0</v>
      </c>
      <c r="X5" s="53">
        <f t="shared" ref="X5:X10" si="7">+U5+V5-W5</f>
        <v>0</v>
      </c>
      <c r="Y5" s="54">
        <v>0</v>
      </c>
      <c r="Z5" s="55">
        <v>0</v>
      </c>
      <c r="AA5" s="56">
        <f t="shared" ref="AA5:AA10" si="8">+X5+Y5-Z5</f>
        <v>0</v>
      </c>
    </row>
    <row r="6" spans="1:27" ht="50.1" customHeight="1" x14ac:dyDescent="0.25">
      <c r="A6" s="57">
        <f t="shared" si="3"/>
        <v>4</v>
      </c>
      <c r="B6" s="12" t="s">
        <v>38</v>
      </c>
      <c r="C6" s="32">
        <v>10600000</v>
      </c>
      <c r="D6" s="33">
        <v>0</v>
      </c>
      <c r="E6" s="34">
        <f>12*225000</f>
        <v>2700000</v>
      </c>
      <c r="F6" s="35">
        <f t="shared" si="0"/>
        <v>7900000</v>
      </c>
      <c r="G6" s="36">
        <v>0</v>
      </c>
      <c r="H6" s="37">
        <f>12*225000</f>
        <v>2700000</v>
      </c>
      <c r="I6" s="38">
        <f t="shared" si="1"/>
        <v>5200000</v>
      </c>
      <c r="J6" s="39">
        <v>0</v>
      </c>
      <c r="K6" s="40">
        <f>12*225000</f>
        <v>2700000</v>
      </c>
      <c r="L6" s="41">
        <f t="shared" si="2"/>
        <v>2500000</v>
      </c>
      <c r="M6" s="42">
        <v>0</v>
      </c>
      <c r="N6" s="43">
        <f>10*225000+2*125000</f>
        <v>2500000</v>
      </c>
      <c r="O6" s="44">
        <f t="shared" si="4"/>
        <v>0</v>
      </c>
      <c r="P6" s="45">
        <v>0</v>
      </c>
      <c r="Q6" s="46">
        <v>0</v>
      </c>
      <c r="R6" s="47">
        <f t="shared" si="5"/>
        <v>0</v>
      </c>
      <c r="S6" s="48">
        <v>0</v>
      </c>
      <c r="T6" s="49">
        <v>0</v>
      </c>
      <c r="U6" s="50">
        <f t="shared" si="6"/>
        <v>0</v>
      </c>
      <c r="V6" s="51">
        <v>0</v>
      </c>
      <c r="W6" s="52">
        <v>0</v>
      </c>
      <c r="X6" s="53">
        <f t="shared" si="7"/>
        <v>0</v>
      </c>
      <c r="Y6" s="54">
        <v>0</v>
      </c>
      <c r="Z6" s="55">
        <v>0</v>
      </c>
      <c r="AA6" s="56">
        <f t="shared" si="8"/>
        <v>0</v>
      </c>
    </row>
    <row r="7" spans="1:27" ht="50.1" customHeight="1" x14ac:dyDescent="0.25">
      <c r="A7" s="58">
        <f>+A6+1</f>
        <v>5</v>
      </c>
      <c r="B7" s="12" t="s">
        <v>39</v>
      </c>
      <c r="C7" s="32">
        <v>12000000</v>
      </c>
      <c r="D7" s="33">
        <v>0</v>
      </c>
      <c r="E7" s="34">
        <f>12*200000</f>
        <v>2400000</v>
      </c>
      <c r="F7" s="35">
        <f t="shared" si="0"/>
        <v>9600000</v>
      </c>
      <c r="G7" s="36">
        <v>0</v>
      </c>
      <c r="H7" s="37">
        <f>12*200000</f>
        <v>2400000</v>
      </c>
      <c r="I7" s="38">
        <f t="shared" si="1"/>
        <v>7200000</v>
      </c>
      <c r="J7" s="39">
        <v>0</v>
      </c>
      <c r="K7" s="40">
        <f>12*200000</f>
        <v>2400000</v>
      </c>
      <c r="L7" s="41">
        <f t="shared" si="2"/>
        <v>4800000</v>
      </c>
      <c r="M7" s="42">
        <v>0</v>
      </c>
      <c r="N7" s="43">
        <f>12*200000</f>
        <v>2400000</v>
      </c>
      <c r="O7" s="44">
        <f t="shared" si="4"/>
        <v>2400000</v>
      </c>
      <c r="P7" s="45">
        <v>0</v>
      </c>
      <c r="Q7" s="46">
        <f>12*200000</f>
        <v>2400000</v>
      </c>
      <c r="R7" s="47">
        <f t="shared" si="5"/>
        <v>0</v>
      </c>
      <c r="S7" s="48">
        <v>0</v>
      </c>
      <c r="T7" s="49">
        <v>0</v>
      </c>
      <c r="U7" s="50">
        <f t="shared" si="6"/>
        <v>0</v>
      </c>
      <c r="V7" s="51">
        <v>0</v>
      </c>
      <c r="W7" s="52">
        <v>0</v>
      </c>
      <c r="X7" s="53">
        <f t="shared" si="7"/>
        <v>0</v>
      </c>
      <c r="Y7" s="54">
        <v>0</v>
      </c>
      <c r="Z7" s="55">
        <v>0</v>
      </c>
      <c r="AA7" s="56">
        <f t="shared" si="8"/>
        <v>0</v>
      </c>
    </row>
    <row r="8" spans="1:27" ht="50.1" customHeight="1" x14ac:dyDescent="0.25">
      <c r="A8" s="58">
        <f>+A7+1</f>
        <v>6</v>
      </c>
      <c r="B8" s="12" t="s">
        <v>40</v>
      </c>
      <c r="C8" s="32">
        <v>15000000</v>
      </c>
      <c r="D8" s="33">
        <v>0</v>
      </c>
      <c r="E8" s="34">
        <f>12*250000</f>
        <v>3000000</v>
      </c>
      <c r="F8" s="35">
        <f t="shared" si="0"/>
        <v>12000000</v>
      </c>
      <c r="G8" s="36">
        <v>0</v>
      </c>
      <c r="H8" s="37">
        <f>12*250000</f>
        <v>3000000</v>
      </c>
      <c r="I8" s="38">
        <f t="shared" si="1"/>
        <v>9000000</v>
      </c>
      <c r="J8" s="39">
        <v>0</v>
      </c>
      <c r="K8" s="40">
        <f>12*250000</f>
        <v>3000000</v>
      </c>
      <c r="L8" s="41">
        <f t="shared" si="2"/>
        <v>6000000</v>
      </c>
      <c r="M8" s="42">
        <v>0</v>
      </c>
      <c r="N8" s="43">
        <f>12*250000</f>
        <v>3000000</v>
      </c>
      <c r="O8" s="44">
        <f t="shared" si="4"/>
        <v>3000000</v>
      </c>
      <c r="P8" s="45">
        <v>0</v>
      </c>
      <c r="Q8" s="46">
        <f>12*250000</f>
        <v>3000000</v>
      </c>
      <c r="R8" s="47">
        <f t="shared" si="5"/>
        <v>0</v>
      </c>
      <c r="S8" s="48">
        <v>0</v>
      </c>
      <c r="T8" s="49"/>
      <c r="U8" s="50">
        <f t="shared" si="6"/>
        <v>0</v>
      </c>
      <c r="V8" s="51">
        <v>0</v>
      </c>
      <c r="W8" s="52"/>
      <c r="X8" s="53">
        <f t="shared" si="7"/>
        <v>0</v>
      </c>
      <c r="Y8" s="54">
        <v>0</v>
      </c>
      <c r="Z8" s="55"/>
      <c r="AA8" s="56">
        <f t="shared" si="8"/>
        <v>0</v>
      </c>
    </row>
    <row r="9" spans="1:27" ht="74.25" customHeight="1" x14ac:dyDescent="0.25">
      <c r="A9" s="58">
        <f t="shared" ref="A9" si="9">+A8+1</f>
        <v>7</v>
      </c>
      <c r="B9" s="12" t="s">
        <v>41</v>
      </c>
      <c r="C9" s="32"/>
      <c r="D9" s="33">
        <v>35000000</v>
      </c>
      <c r="E9" s="34">
        <v>0</v>
      </c>
      <c r="F9" s="35">
        <f t="shared" si="0"/>
        <v>35000000</v>
      </c>
      <c r="G9" s="36">
        <v>10100000</v>
      </c>
      <c r="H9" s="37">
        <v>0</v>
      </c>
      <c r="I9" s="38">
        <f t="shared" si="1"/>
        <v>45100000</v>
      </c>
      <c r="J9" s="39">
        <v>0</v>
      </c>
      <c r="K9" s="40">
        <f>90000+11*110000</f>
        <v>1300000</v>
      </c>
      <c r="L9" s="41">
        <f t="shared" si="2"/>
        <v>43800000</v>
      </c>
      <c r="M9" s="42">
        <v>0</v>
      </c>
      <c r="N9" s="43">
        <f>12*730000</f>
        <v>8760000</v>
      </c>
      <c r="O9" s="44">
        <f t="shared" si="4"/>
        <v>35040000</v>
      </c>
      <c r="P9" s="45">
        <v>0</v>
      </c>
      <c r="Q9" s="46">
        <f>12*730000</f>
        <v>8760000</v>
      </c>
      <c r="R9" s="47">
        <f t="shared" si="5"/>
        <v>26280000</v>
      </c>
      <c r="S9" s="48">
        <v>0</v>
      </c>
      <c r="T9" s="49">
        <f>12*730000</f>
        <v>8760000</v>
      </c>
      <c r="U9" s="50">
        <f t="shared" si="6"/>
        <v>17520000</v>
      </c>
      <c r="V9" s="51">
        <v>0</v>
      </c>
      <c r="W9" s="52">
        <f>12*730000</f>
        <v>8760000</v>
      </c>
      <c r="X9" s="53">
        <f t="shared" si="7"/>
        <v>8760000</v>
      </c>
      <c r="Y9" s="54">
        <v>0</v>
      </c>
      <c r="Z9" s="55">
        <f>12*730000</f>
        <v>8760000</v>
      </c>
      <c r="AA9" s="56">
        <f t="shared" si="8"/>
        <v>0</v>
      </c>
    </row>
    <row r="10" spans="1:27" s="78" customFormat="1" ht="50.1" customHeight="1" x14ac:dyDescent="0.25">
      <c r="A10" s="59">
        <v>8</v>
      </c>
      <c r="B10" s="60" t="s">
        <v>42</v>
      </c>
      <c r="C10" s="61">
        <v>0</v>
      </c>
      <c r="D10" s="62">
        <v>30000000</v>
      </c>
      <c r="E10" s="63">
        <v>0</v>
      </c>
      <c r="F10" s="35">
        <f t="shared" si="0"/>
        <v>30000000</v>
      </c>
      <c r="G10" s="64">
        <v>0</v>
      </c>
      <c r="H10" s="65">
        <f>12*500000</f>
        <v>6000000</v>
      </c>
      <c r="I10" s="38">
        <f t="shared" si="1"/>
        <v>24000000</v>
      </c>
      <c r="J10" s="66">
        <v>0</v>
      </c>
      <c r="K10" s="67">
        <f>12*500000</f>
        <v>6000000</v>
      </c>
      <c r="L10" s="41">
        <f t="shared" si="2"/>
        <v>18000000</v>
      </c>
      <c r="M10" s="68">
        <v>0</v>
      </c>
      <c r="N10" s="69">
        <f>12*500000</f>
        <v>6000000</v>
      </c>
      <c r="O10" s="44">
        <f t="shared" si="4"/>
        <v>12000000</v>
      </c>
      <c r="P10" s="70">
        <v>0</v>
      </c>
      <c r="Q10" s="71">
        <f>12*500000</f>
        <v>6000000</v>
      </c>
      <c r="R10" s="47">
        <f t="shared" si="5"/>
        <v>6000000</v>
      </c>
      <c r="S10" s="72">
        <v>0</v>
      </c>
      <c r="T10" s="73">
        <f>12*500000</f>
        <v>6000000</v>
      </c>
      <c r="U10" s="50">
        <f t="shared" si="6"/>
        <v>0</v>
      </c>
      <c r="V10" s="74">
        <v>0</v>
      </c>
      <c r="W10" s="75">
        <v>0</v>
      </c>
      <c r="X10" s="53">
        <f t="shared" si="7"/>
        <v>0</v>
      </c>
      <c r="Y10" s="76">
        <v>0</v>
      </c>
      <c r="Z10" s="77">
        <v>0</v>
      </c>
      <c r="AA10" s="56">
        <f t="shared" si="8"/>
        <v>0</v>
      </c>
    </row>
    <row r="11" spans="1:27" ht="50.1" customHeight="1" x14ac:dyDescent="0.25">
      <c r="A11" s="79"/>
      <c r="B11" s="80"/>
      <c r="C11" s="81">
        <f>SUM(C3:C10)</f>
        <v>113105404.97</v>
      </c>
      <c r="D11" s="82">
        <f t="shared" ref="D11:AA11" si="10">SUM(D3:D10)</f>
        <v>65000000</v>
      </c>
      <c r="E11" s="83">
        <f t="shared" si="10"/>
        <v>26234652</v>
      </c>
      <c r="F11" s="84">
        <f t="shared" si="10"/>
        <v>151870752.97</v>
      </c>
      <c r="G11" s="85">
        <f t="shared" si="10"/>
        <v>10100000</v>
      </c>
      <c r="H11" s="86">
        <f t="shared" si="10"/>
        <v>32779288</v>
      </c>
      <c r="I11" s="87">
        <f t="shared" si="10"/>
        <v>129191464.97</v>
      </c>
      <c r="J11" s="88">
        <f t="shared" si="10"/>
        <v>0</v>
      </c>
      <c r="K11" s="89">
        <f t="shared" si="10"/>
        <v>35179288</v>
      </c>
      <c r="L11" s="90">
        <f t="shared" si="10"/>
        <v>94012176.969999999</v>
      </c>
      <c r="M11" s="91">
        <f t="shared" si="10"/>
        <v>0</v>
      </c>
      <c r="N11" s="92">
        <f t="shared" si="10"/>
        <v>41573096</v>
      </c>
      <c r="O11" s="93">
        <f t="shared" si="10"/>
        <v>52440000</v>
      </c>
      <c r="P11" s="94">
        <f t="shared" si="10"/>
        <v>0</v>
      </c>
      <c r="Q11" s="95">
        <f t="shared" si="10"/>
        <v>20160000</v>
      </c>
      <c r="R11" s="96">
        <f t="shared" si="10"/>
        <v>32280000</v>
      </c>
      <c r="S11" s="97">
        <f t="shared" si="10"/>
        <v>0</v>
      </c>
      <c r="T11" s="98">
        <f t="shared" si="10"/>
        <v>14760000</v>
      </c>
      <c r="U11" s="99">
        <f t="shared" si="10"/>
        <v>17520000</v>
      </c>
      <c r="V11" s="100">
        <f t="shared" si="10"/>
        <v>0</v>
      </c>
      <c r="W11" s="101">
        <f t="shared" si="10"/>
        <v>8760000</v>
      </c>
      <c r="X11" s="102">
        <f t="shared" si="10"/>
        <v>8759999.9999999981</v>
      </c>
      <c r="Y11" s="103">
        <f t="shared" si="10"/>
        <v>0</v>
      </c>
      <c r="Z11" s="104">
        <f t="shared" si="10"/>
        <v>8760000</v>
      </c>
      <c r="AA11" s="105">
        <f t="shared" si="10"/>
        <v>-1.1921201803488657E-9</v>
      </c>
    </row>
  </sheetData>
  <mergeCells count="8">
    <mergeCell ref="V1:X1"/>
    <mergeCell ref="Y1:AA1"/>
    <mergeCell ref="D1:F1"/>
    <mergeCell ref="G1:I1"/>
    <mergeCell ref="J1:L1"/>
    <mergeCell ref="M1:O1"/>
    <mergeCell ref="P1:R1"/>
    <mergeCell ref="S1:U1"/>
  </mergeCells>
  <printOptions horizontalCentered="1"/>
  <pageMargins left="0.31496062992125984" right="0.31496062992125984" top="0.35433070866141736" bottom="0.35433070866141736" header="0.31496062992125984" footer="0.31496062992125984"/>
  <pageSetup paperSize="8" scale="45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spłaty pożyczek i kredytów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Lechowicz</dc:creator>
  <cp:lastModifiedBy>Dorota Lechowicz</cp:lastModifiedBy>
  <dcterms:created xsi:type="dcterms:W3CDTF">2019-09-13T11:26:32Z</dcterms:created>
  <dcterms:modified xsi:type="dcterms:W3CDTF">2019-09-13T11:27:54Z</dcterms:modified>
</cp:coreProperties>
</file>